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Desktop-il6h645\c\Websites\hydrocarbonconspiracy.info\"/>
    </mc:Choice>
  </mc:AlternateContent>
  <xr:revisionPtr revIDLastSave="0" documentId="13_ncr:1_{EA542885-38F5-4782-BEDB-F0E1DD63808E}" xr6:coauthVersionLast="47" xr6:coauthVersionMax="47" xr10:uidLastSave="{00000000-0000-0000-0000-000000000000}"/>
  <bookViews>
    <workbookView xWindow="57960" yWindow="330" windowWidth="18630" windowHeight="2044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4" i="1" l="1"/>
  <c r="B28" i="1"/>
  <c r="B27" i="1" s="1"/>
  <c r="B30" i="1"/>
  <c r="B29" i="1"/>
  <c r="B44" i="1" l="1"/>
  <c r="B45" i="1"/>
  <c r="D40" i="1"/>
  <c r="B38" i="1"/>
  <c r="B39" i="1"/>
  <c r="B40" i="1"/>
  <c r="C38" i="1"/>
  <c r="D38" i="1"/>
  <c r="C39" i="1"/>
  <c r="D39" i="1"/>
  <c r="C40" i="1"/>
  <c r="B31" i="1"/>
  <c r="B33" i="1"/>
  <c r="B32" i="1"/>
  <c r="B35" i="1" s="1"/>
</calcChain>
</file>

<file path=xl/sharedStrings.xml><?xml version="1.0" encoding="utf-8"?>
<sst xmlns="http://schemas.openxmlformats.org/spreadsheetml/2006/main" count="69" uniqueCount="62">
  <si>
    <t>Superannuation (%):</t>
  </si>
  <si>
    <t>Results:</t>
  </si>
  <si>
    <t>Annual wage:</t>
  </si>
  <si>
    <t>Input fields:</t>
  </si>
  <si>
    <t>Notes:</t>
  </si>
  <si>
    <t>Hours worked per day:</t>
  </si>
  <si>
    <t>Days worked per week:</t>
  </si>
  <si>
    <t>Usually 5 days</t>
  </si>
  <si>
    <t>Daily charge out rate:</t>
  </si>
  <si>
    <t>Full time market hourly average wage:</t>
  </si>
  <si>
    <t>Weekly charge out rate:</t>
  </si>
  <si>
    <t>Annual leave (Hours):</t>
  </si>
  <si>
    <t>Annual sick leave (Hours):</t>
  </si>
  <si>
    <t>Average travel costs ($/Km):</t>
  </si>
  <si>
    <t>Billable % of worked hours:</t>
  </si>
  <si>
    <t>Daily workshop cleaning hours:</t>
  </si>
  <si>
    <t>Additional daily Travel charge out:</t>
  </si>
  <si>
    <t>GST %:</t>
  </si>
  <si>
    <t>Leave blank if this is deducted from wages. Add number if superannuation is an additional part of the package.</t>
  </si>
  <si>
    <t>Leave blank if you're not registered for GST.</t>
  </si>
  <si>
    <t>Travel:</t>
  </si>
  <si>
    <t>GST Registration:</t>
  </si>
  <si>
    <t>Normal wage working hours:</t>
  </si>
  <si>
    <t>Daily return travel Kms:</t>
  </si>
  <si>
    <t>Annual total tool spend:</t>
  </si>
  <si>
    <t>Hourly charge out rate:</t>
  </si>
  <si>
    <t>Usually 4 weeks (160 hours)</t>
  </si>
  <si>
    <t>Usually 1 week (40 hours)</t>
  </si>
  <si>
    <t>Usually 8 (Enter 7.6 for a 38 hour week or RDO fortnights)</t>
  </si>
  <si>
    <t>Leave as 100% if the workload is guaranteed and no warranty risks, or about 60% for sporadic workloads and warranty risks.</t>
  </si>
  <si>
    <t>Casual hourly rate equivalent:</t>
  </si>
  <si>
    <t>Average total profit %:</t>
  </si>
  <si>
    <t>Total annual professional licensing costs:</t>
  </si>
  <si>
    <t>Leave blank if this is mostly covered by the mark-up on parts and / or Billable % of worked hours</t>
  </si>
  <si>
    <t>Rounded to the nearest 10, Includes GST if applicable.</t>
  </si>
  <si>
    <t>Rounded to the nearest 1, Includes GST if applicable.</t>
  </si>
  <si>
    <t>Sporadic work:</t>
  </si>
  <si>
    <t>Sporadic work with high warranty risk:</t>
  </si>
  <si>
    <t>Weekly:</t>
  </si>
  <si>
    <t>Daily:</t>
  </si>
  <si>
    <t>Hourly:</t>
  </si>
  <si>
    <t>Sliding discount scale applied for volume works</t>
  </si>
  <si>
    <t>Preset example output charge out results:</t>
  </si>
  <si>
    <t>Fixed rate - ongoing regular work</t>
  </si>
  <si>
    <t>Daily charge out including travel:</t>
  </si>
  <si>
    <t>Daily charge out (Includes GST if applicable, plus travel costs), rounded to the nearest 10</t>
  </si>
  <si>
    <t>Full time rate plus the annual leave and sick leave you wouldn't otherwise get. Superannuation not calculated.</t>
  </si>
  <si>
    <t>Superannuation not calculated</t>
  </si>
  <si>
    <t>What % of profit (or taxable income) are you usually left with after completing BAS?</t>
  </si>
  <si>
    <t>Your average daily travel distance</t>
  </si>
  <si>
    <t>Average costs including registration, insurance, fuel, repairs</t>
  </si>
  <si>
    <t>Annual business / trade licences and insurance costs</t>
  </si>
  <si>
    <t>Annual cost of replacing / repairing worn out tools and consumables</t>
  </si>
  <si>
    <r>
      <rPr>
        <sz val="11"/>
        <rFont val="Calibri"/>
        <family val="2"/>
        <scheme val="minor"/>
      </rPr>
      <t xml:space="preserve">Source for guidance: </t>
    </r>
    <r>
      <rPr>
        <u/>
        <sz val="11"/>
        <color theme="10"/>
        <rFont val="Calibri"/>
        <family val="2"/>
        <scheme val="minor"/>
      </rPr>
      <t>https://www.ato.gov.au/Business/Small-business-benchmarks</t>
    </r>
  </si>
  <si>
    <t>Workshop / low overhead / ongoing work:</t>
  </si>
  <si>
    <t>Regular simple work with lots of travel:</t>
  </si>
  <si>
    <t>Total weekly charge:</t>
  </si>
  <si>
    <t>Weekly Average Kms:</t>
  </si>
  <si>
    <t>Billable hours left at 100%</t>
  </si>
  <si>
    <t>www.facebook.com/hydrocarbonconspiracy</t>
  </si>
  <si>
    <t>Hydrocarbon conspiracy - A demonstration for consumers, a crash course for technicians</t>
  </si>
  <si>
    <t>www.hydrocarbonconspiracy.info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</si>
</sst>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8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Font="1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8" xfId="0" applyBorder="1" applyAlignment="1">
      <alignment vertical="center"/>
    </xf>
    <xf numFmtId="0" fontId="1" fillId="0" borderId="5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0" fillId="0" borderId="10" xfId="0" applyBorder="1" applyAlignment="1">
      <alignment horizontal="center" vertical="center"/>
    </xf>
    <xf numFmtId="0" fontId="1" fillId="0" borderId="1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horizontal="center" vertical="center"/>
    </xf>
    <xf numFmtId="0" fontId="0" fillId="0" borderId="9" xfId="0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0" xfId="1" applyBorder="1" applyAlignment="1">
      <alignment vertical="center"/>
    </xf>
    <xf numFmtId="0" fontId="3" fillId="0" borderId="0" xfId="1" applyAlignment="1">
      <alignment vertical="center"/>
    </xf>
    <xf numFmtId="0" fontId="0" fillId="0" borderId="1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3" fillId="0" borderId="10" xfId="1" applyBorder="1" applyAlignment="1">
      <alignment vertical="center"/>
    </xf>
    <xf numFmtId="0" fontId="3" fillId="0" borderId="11" xfId="1" applyBorder="1" applyAlignment="1">
      <alignment vertical="center"/>
    </xf>
    <xf numFmtId="0" fontId="3" fillId="0" borderId="0" xfId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hydrocarbonconspiracy.info/" TargetMode="External"/><Relationship Id="rId1" Type="http://schemas.openxmlformats.org/officeDocument/2006/relationships/hyperlink" Target="http://www.facebook.com/hydrocarbonconspiracy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8"/>
  <sheetViews>
    <sheetView tabSelected="1" workbookViewId="0">
      <selection activeCell="A47" sqref="A47"/>
    </sheetView>
  </sheetViews>
  <sheetFormatPr defaultRowHeight="15" x14ac:dyDescent="0.25"/>
  <cols>
    <col min="1" max="1" width="38.28515625" style="2" customWidth="1"/>
    <col min="2" max="2" width="10.28515625" style="1" customWidth="1"/>
    <col min="3" max="16384" width="9.140625" style="2"/>
  </cols>
  <sheetData>
    <row r="1" spans="1:14" x14ac:dyDescent="0.25">
      <c r="A1" s="18" t="s">
        <v>3</v>
      </c>
      <c r="B1" s="6"/>
      <c r="C1" s="19" t="s">
        <v>4</v>
      </c>
      <c r="D1" s="7"/>
      <c r="E1" s="7"/>
      <c r="F1" s="7"/>
      <c r="G1" s="7"/>
      <c r="H1" s="7"/>
      <c r="I1" s="7"/>
      <c r="J1" s="7"/>
      <c r="K1" s="7"/>
      <c r="L1" s="7"/>
      <c r="M1" s="7"/>
      <c r="N1" s="8"/>
    </row>
    <row r="2" spans="1:14" x14ac:dyDescent="0.25">
      <c r="A2" s="16" t="s">
        <v>22</v>
      </c>
      <c r="B2" s="4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4"/>
    </row>
    <row r="3" spans="1:14" x14ac:dyDescent="0.25">
      <c r="A3" s="10" t="s">
        <v>9</v>
      </c>
      <c r="B3" s="4">
        <v>45</v>
      </c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8"/>
    </row>
    <row r="4" spans="1:14" x14ac:dyDescent="0.25">
      <c r="A4" s="10" t="s">
        <v>5</v>
      </c>
      <c r="B4" s="4">
        <v>8</v>
      </c>
      <c r="C4" s="27" t="s">
        <v>28</v>
      </c>
      <c r="D4" s="27"/>
      <c r="E4" s="27"/>
      <c r="F4" s="27"/>
      <c r="G4" s="27"/>
      <c r="H4" s="27"/>
      <c r="I4" s="27"/>
      <c r="J4" s="27"/>
      <c r="K4" s="27"/>
      <c r="L4" s="27"/>
      <c r="M4" s="27"/>
      <c r="N4" s="28"/>
    </row>
    <row r="5" spans="1:14" x14ac:dyDescent="0.25">
      <c r="A5" s="10" t="s">
        <v>6</v>
      </c>
      <c r="B5" s="4">
        <v>5</v>
      </c>
      <c r="C5" s="27" t="s">
        <v>7</v>
      </c>
      <c r="D5" s="27"/>
      <c r="E5" s="27"/>
      <c r="F5" s="27"/>
      <c r="G5" s="27"/>
      <c r="H5" s="27"/>
      <c r="I5" s="27"/>
      <c r="J5" s="27"/>
      <c r="K5" s="27"/>
      <c r="L5" s="27"/>
      <c r="M5" s="27"/>
      <c r="N5" s="28"/>
    </row>
    <row r="6" spans="1:14" x14ac:dyDescent="0.25">
      <c r="A6" s="11"/>
      <c r="B6" s="12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4"/>
    </row>
    <row r="7" spans="1:14" x14ac:dyDescent="0.25">
      <c r="A7" s="16" t="s">
        <v>0</v>
      </c>
      <c r="B7" s="4">
        <v>10</v>
      </c>
      <c r="C7" s="27" t="s">
        <v>18</v>
      </c>
      <c r="D7" s="27"/>
      <c r="E7" s="27"/>
      <c r="F7" s="27"/>
      <c r="G7" s="27"/>
      <c r="H7" s="27"/>
      <c r="I7" s="27"/>
      <c r="J7" s="27"/>
      <c r="K7" s="27"/>
      <c r="L7" s="27"/>
      <c r="M7" s="27"/>
      <c r="N7" s="28"/>
    </row>
    <row r="8" spans="1:14" x14ac:dyDescent="0.25">
      <c r="A8" s="11"/>
      <c r="B8" s="12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4"/>
    </row>
    <row r="9" spans="1:14" x14ac:dyDescent="0.25">
      <c r="A9" s="16" t="s">
        <v>15</v>
      </c>
      <c r="B9" s="4">
        <v>0.5</v>
      </c>
      <c r="C9" s="27" t="s">
        <v>33</v>
      </c>
      <c r="D9" s="27"/>
      <c r="E9" s="27"/>
      <c r="F9" s="27"/>
      <c r="G9" s="27"/>
      <c r="H9" s="27"/>
      <c r="I9" s="27"/>
      <c r="J9" s="27"/>
      <c r="K9" s="27"/>
      <c r="L9" s="27"/>
      <c r="M9" s="27"/>
      <c r="N9" s="28"/>
    </row>
    <row r="10" spans="1:14" x14ac:dyDescent="0.25">
      <c r="A10" s="11"/>
      <c r="B10" s="12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4"/>
    </row>
    <row r="11" spans="1:14" x14ac:dyDescent="0.25">
      <c r="A11" s="16" t="s">
        <v>20</v>
      </c>
      <c r="B11" s="12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4"/>
    </row>
    <row r="12" spans="1:14" x14ac:dyDescent="0.25">
      <c r="A12" s="10" t="s">
        <v>13</v>
      </c>
      <c r="B12" s="4">
        <v>1.2</v>
      </c>
      <c r="C12" s="27" t="s">
        <v>50</v>
      </c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8"/>
    </row>
    <row r="13" spans="1:14" x14ac:dyDescent="0.25">
      <c r="A13" s="10" t="s">
        <v>23</v>
      </c>
      <c r="B13" s="4">
        <v>60</v>
      </c>
      <c r="C13" s="27" t="s">
        <v>49</v>
      </c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8"/>
    </row>
    <row r="14" spans="1:14" x14ac:dyDescent="0.25">
      <c r="A14" s="11"/>
      <c r="B14" s="12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4"/>
    </row>
    <row r="15" spans="1:14" x14ac:dyDescent="0.25">
      <c r="A15" s="16" t="s">
        <v>32</v>
      </c>
      <c r="B15" s="4">
        <v>2000</v>
      </c>
      <c r="C15" s="27" t="s">
        <v>51</v>
      </c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8"/>
    </row>
    <row r="16" spans="1:14" x14ac:dyDescent="0.25">
      <c r="A16" s="20"/>
      <c r="B16" s="12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4"/>
    </row>
    <row r="17" spans="1:14" x14ac:dyDescent="0.25">
      <c r="A17" s="16" t="s">
        <v>24</v>
      </c>
      <c r="B17" s="4">
        <v>3000</v>
      </c>
      <c r="C17" s="27" t="s">
        <v>52</v>
      </c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8"/>
    </row>
    <row r="18" spans="1:14" x14ac:dyDescent="0.25">
      <c r="A18" s="11"/>
      <c r="B18" s="12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4"/>
    </row>
    <row r="19" spans="1:14" x14ac:dyDescent="0.25">
      <c r="A19" s="16" t="s">
        <v>14</v>
      </c>
      <c r="B19" s="4">
        <v>80</v>
      </c>
      <c r="C19" s="27" t="s">
        <v>29</v>
      </c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8"/>
    </row>
    <row r="20" spans="1:14" x14ac:dyDescent="0.25">
      <c r="A20" s="20"/>
      <c r="B20" s="12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4"/>
    </row>
    <row r="21" spans="1:14" x14ac:dyDescent="0.25">
      <c r="A21" s="16" t="s">
        <v>21</v>
      </c>
      <c r="B21" s="12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4"/>
    </row>
    <row r="22" spans="1:14" x14ac:dyDescent="0.25">
      <c r="A22" s="10" t="s">
        <v>17</v>
      </c>
      <c r="B22" s="4">
        <v>10</v>
      </c>
      <c r="C22" s="27" t="s">
        <v>19</v>
      </c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8"/>
    </row>
    <row r="23" spans="1:14" x14ac:dyDescent="0.25">
      <c r="A23" s="10" t="s">
        <v>31</v>
      </c>
      <c r="B23" s="4">
        <v>39</v>
      </c>
      <c r="C23" s="27" t="s">
        <v>48</v>
      </c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8"/>
    </row>
    <row r="24" spans="1:14" ht="15.75" thickBot="1" x14ac:dyDescent="0.3">
      <c r="A24" s="21"/>
      <c r="B24" s="22"/>
      <c r="C24" s="35" t="s">
        <v>53</v>
      </c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6"/>
    </row>
    <row r="25" spans="1:14" ht="15.75" thickBot="1" x14ac:dyDescent="0.3">
      <c r="A25" s="11"/>
      <c r="B25" s="12"/>
      <c r="C25" s="25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4"/>
    </row>
    <row r="26" spans="1:14" x14ac:dyDescent="0.25">
      <c r="A26" s="5" t="s">
        <v>1</v>
      </c>
      <c r="B26" s="6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8"/>
    </row>
    <row r="27" spans="1:14" x14ac:dyDescent="0.25">
      <c r="A27" s="9" t="s">
        <v>30</v>
      </c>
      <c r="B27" s="4">
        <f>MROUND((B28/(B4*B5*52-B29-B30)),1)</f>
        <v>50</v>
      </c>
      <c r="C27" s="27" t="s">
        <v>46</v>
      </c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8"/>
    </row>
    <row r="28" spans="1:14" x14ac:dyDescent="0.25">
      <c r="A28" s="10" t="s">
        <v>2</v>
      </c>
      <c r="B28" s="4">
        <f>B3*(B4*B5)*52</f>
        <v>93600</v>
      </c>
      <c r="C28" s="27" t="s">
        <v>47</v>
      </c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8"/>
    </row>
    <row r="29" spans="1:14" x14ac:dyDescent="0.25">
      <c r="A29" s="10" t="s">
        <v>11</v>
      </c>
      <c r="B29" s="4">
        <f>B5*4*B4</f>
        <v>160</v>
      </c>
      <c r="C29" s="27" t="s">
        <v>26</v>
      </c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8"/>
    </row>
    <row r="30" spans="1:14" x14ac:dyDescent="0.25">
      <c r="A30" s="10" t="s">
        <v>12</v>
      </c>
      <c r="B30" s="4">
        <f>B5*B4</f>
        <v>40</v>
      </c>
      <c r="C30" s="27" t="s">
        <v>27</v>
      </c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8"/>
    </row>
    <row r="31" spans="1:14" x14ac:dyDescent="0.25">
      <c r="A31" s="10" t="s">
        <v>10</v>
      </c>
      <c r="B31" s="4">
        <f>MROUND(((B28*(1+B7/100)*(100/B19)/((B4-B9)*B5*52-B29-B30)+(B15/(B5*B4*52))+(B17/(B5*B4*52)))*(1+((B23/100)*(B22/100))))*(B4*B5),10)</f>
        <v>3160</v>
      </c>
      <c r="C31" s="27" t="s">
        <v>34</v>
      </c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8"/>
    </row>
    <row r="32" spans="1:14" x14ac:dyDescent="0.25">
      <c r="A32" s="10" t="s">
        <v>8</v>
      </c>
      <c r="B32" s="4">
        <f>MROUND(((B28*(1+B7/100)*(100/B19)/((B4-B9)*B5*52-B29-B30)+(B15/(B5*B4*52))+(B17/(B5*B4*52)))*(1+((B23/100)*(B22/100))))*B4,10)</f>
        <v>630</v>
      </c>
      <c r="C32" s="27" t="s">
        <v>34</v>
      </c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8"/>
    </row>
    <row r="33" spans="1:14" x14ac:dyDescent="0.25">
      <c r="A33" s="10" t="s">
        <v>25</v>
      </c>
      <c r="B33" s="4">
        <f>MROUND((B28*(1+B7/100)*(100/B19)/((B4-B9)*B5*52-B29-B30)+(B15/(B5*B4*52))+(B17/(B5*B4*52)))*(1+((B23/100)*(B22/100))),1)</f>
        <v>79</v>
      </c>
      <c r="C33" s="27" t="s">
        <v>35</v>
      </c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8"/>
    </row>
    <row r="34" spans="1:14" x14ac:dyDescent="0.25">
      <c r="A34" s="10" t="s">
        <v>16</v>
      </c>
      <c r="B34" s="4">
        <f>MROUND(B12*B13,10)</f>
        <v>70</v>
      </c>
      <c r="C34" s="27" t="s">
        <v>34</v>
      </c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8"/>
    </row>
    <row r="35" spans="1:14" x14ac:dyDescent="0.25">
      <c r="A35" s="10" t="s">
        <v>44</v>
      </c>
      <c r="B35" s="4">
        <f>MROUND(B32+B34,10)</f>
        <v>700</v>
      </c>
      <c r="C35" s="27" t="s">
        <v>45</v>
      </c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8"/>
    </row>
    <row r="36" spans="1:14" x14ac:dyDescent="0.25">
      <c r="A36" s="11"/>
      <c r="B36" s="12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4"/>
    </row>
    <row r="37" spans="1:14" x14ac:dyDescent="0.25">
      <c r="A37" s="15" t="s">
        <v>42</v>
      </c>
      <c r="B37" s="3" t="s">
        <v>40</v>
      </c>
      <c r="C37" s="3" t="s">
        <v>39</v>
      </c>
      <c r="D37" s="3" t="s">
        <v>38</v>
      </c>
      <c r="E37" s="33" t="s">
        <v>4</v>
      </c>
      <c r="F37" s="33"/>
      <c r="G37" s="33"/>
      <c r="H37" s="33"/>
      <c r="I37" s="33"/>
      <c r="J37" s="33"/>
      <c r="K37" s="33"/>
      <c r="L37" s="33"/>
      <c r="M37" s="33"/>
      <c r="N37" s="34"/>
    </row>
    <row r="38" spans="1:14" x14ac:dyDescent="0.25">
      <c r="A38" s="16" t="s">
        <v>54</v>
      </c>
      <c r="B38" s="4">
        <f>MROUND((B28*(1+B7/100)/(B4*B5*52-B29-B30)+(B15/(B5*B4*52))+(B17/(B5*B4*52)))*(1+((B23/100)*(B22/100))),1)</f>
        <v>59</v>
      </c>
      <c r="C38" s="4">
        <f>MROUND((B28*(1+B7/100)/(B4*B5*52-B29-B30)+(B15/(B5*B4*52))+(B17/(B5*B4*52)))*(1+((B23/100)*(B22/100)))*B4,1)</f>
        <v>475</v>
      </c>
      <c r="D38" s="4">
        <f>MROUND((B28*(1+B7/100)/(B4*B5*52-B29-B30)+(B15/(B5*B4*52))+(B17/(B5*B4*52)))*(1+((B23/100)*(B22/100)))*B4*B5,1)</f>
        <v>2376</v>
      </c>
      <c r="E38" s="27" t="s">
        <v>43</v>
      </c>
      <c r="F38" s="27"/>
      <c r="G38" s="27"/>
      <c r="H38" s="27"/>
      <c r="I38" s="27"/>
      <c r="J38" s="27"/>
      <c r="K38" s="27"/>
      <c r="L38" s="27"/>
      <c r="M38" s="27"/>
      <c r="N38" s="28"/>
    </row>
    <row r="39" spans="1:14" x14ac:dyDescent="0.25">
      <c r="A39" s="16" t="s">
        <v>36</v>
      </c>
      <c r="B39" s="4">
        <f>MROUND((B28*(1+B7/100)*(100/80)/((B4-0.5)*B5*52-B29-B30)+(B15/(B5*B4*52))+(B17/(B5*B4*52)))*(1+((B23/100)*(B22/100))),1)</f>
        <v>79</v>
      </c>
      <c r="C39" s="4">
        <f>MROUND((B28*(1+B7/100)*(100/85)/((B4-0.5)*B5*52-B29-B30)+(B15/(B5*B4*52))+(B17/(B5*B4*52)))*(1+((B23/100)*(B22/100)))*B4,1)</f>
        <v>595</v>
      </c>
      <c r="D39" s="4">
        <f>MROUND((B28*(1+B7/100)*(100/90)/((B4-0.5)*B5*52-B29-B30)+(B15/(B5*B4*52))+(B17/(B5*B4*52)))*(1+((B23/100)*(B22/100)))*B4*B5,1)</f>
        <v>2817</v>
      </c>
      <c r="E39" s="27" t="s">
        <v>41</v>
      </c>
      <c r="F39" s="27"/>
      <c r="G39" s="27"/>
      <c r="H39" s="27"/>
      <c r="I39" s="27"/>
      <c r="J39" s="27"/>
      <c r="K39" s="27"/>
      <c r="L39" s="27"/>
      <c r="M39" s="27"/>
      <c r="N39" s="28"/>
    </row>
    <row r="40" spans="1:14" x14ac:dyDescent="0.25">
      <c r="A40" s="16" t="s">
        <v>37</v>
      </c>
      <c r="B40" s="4">
        <f>MROUND((B28*(1+B7/100)*(100/60)/((B4-0.5)*B5*52-B29-B30)+(B15/(B5*B4*52))+(B17/(B5*B4*52)))*(1+((B23/100)*(B22/100))),1)</f>
        <v>104</v>
      </c>
      <c r="C40" s="4">
        <f>MROUND((B28*(1+B7/100)*(100/70)/((B4-0.5)*B5*52-B29-B30)+(B15/(B5*B4*52))+(B17/(B5*B4*52)))*(1+((B23/100)*(B22/100)))*B4,1)</f>
        <v>719</v>
      </c>
      <c r="D40" s="4">
        <f>MROUND((B28*(1+B7/100)*(100/80)/((B4-0.5)*B5*52-B29-B30)+(B15/(B5*B4*52))+(B17/(B5*B4*52)))*(1+((B23/100)*(B22/100)))*B4*B5,1)</f>
        <v>3156</v>
      </c>
      <c r="E40" s="27" t="s">
        <v>41</v>
      </c>
      <c r="F40" s="27"/>
      <c r="G40" s="27"/>
      <c r="H40" s="27"/>
      <c r="I40" s="27"/>
      <c r="J40" s="27"/>
      <c r="K40" s="27"/>
      <c r="L40" s="27"/>
      <c r="M40" s="27"/>
      <c r="N40" s="28"/>
    </row>
    <row r="41" spans="1:14" x14ac:dyDescent="0.25">
      <c r="A41" s="11"/>
      <c r="B41" s="12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4"/>
    </row>
    <row r="42" spans="1:14" x14ac:dyDescent="0.25">
      <c r="A42" s="16" t="s">
        <v>55</v>
      </c>
      <c r="B42" s="24" t="s">
        <v>1</v>
      </c>
      <c r="C42" s="31" t="s">
        <v>4</v>
      </c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2"/>
    </row>
    <row r="43" spans="1:14" x14ac:dyDescent="0.25">
      <c r="A43" s="10" t="s">
        <v>57</v>
      </c>
      <c r="B43" s="4">
        <v>2000</v>
      </c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8"/>
    </row>
    <row r="44" spans="1:14" x14ac:dyDescent="0.25">
      <c r="A44" s="10" t="s">
        <v>25</v>
      </c>
      <c r="B44" s="4">
        <f>MROUND((B28*(1+B7/100)/(B4*B5*52-B29-B30)+(B15/(B5*B4*52))+(B17/(B5*B4*52)))*(1+((B23/100)*(B22/100))),1)</f>
        <v>59</v>
      </c>
      <c r="C44" s="27" t="s">
        <v>58</v>
      </c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8"/>
    </row>
    <row r="45" spans="1:14" ht="15.75" thickBot="1" x14ac:dyDescent="0.3">
      <c r="A45" s="23" t="s">
        <v>56</v>
      </c>
      <c r="B45" s="17">
        <f>MROUND(((B28*(1+B7/100)/(B4*B5*52-B29-B30)+(B15/(B5*B4*52))+(B17/(B5*B4*52)))*(1+((B23/100)*(B22/100)))*B4*B5)+B43*B12,5)</f>
        <v>4775</v>
      </c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30"/>
    </row>
    <row r="47" spans="1:14" x14ac:dyDescent="0.25">
      <c r="A47" s="37" t="s">
        <v>61</v>
      </c>
      <c r="C47" s="2" t="s">
        <v>60</v>
      </c>
    </row>
    <row r="48" spans="1:14" x14ac:dyDescent="0.25">
      <c r="A48" s="26" t="s">
        <v>59</v>
      </c>
    </row>
  </sheetData>
  <mergeCells count="31">
    <mergeCell ref="C7:N7"/>
    <mergeCell ref="C2:N2"/>
    <mergeCell ref="C3:N3"/>
    <mergeCell ref="C4:N4"/>
    <mergeCell ref="C5:N5"/>
    <mergeCell ref="C30:N30"/>
    <mergeCell ref="C31:N31"/>
    <mergeCell ref="C32:N32"/>
    <mergeCell ref="C33:N33"/>
    <mergeCell ref="C34:N34"/>
    <mergeCell ref="C23:N23"/>
    <mergeCell ref="C24:N24"/>
    <mergeCell ref="C27:N27"/>
    <mergeCell ref="C28:N28"/>
    <mergeCell ref="C29:N29"/>
    <mergeCell ref="C9:N9"/>
    <mergeCell ref="C13:N13"/>
    <mergeCell ref="C15:N15"/>
    <mergeCell ref="C17:N17"/>
    <mergeCell ref="C22:N22"/>
    <mergeCell ref="C12:N12"/>
    <mergeCell ref="C19:N19"/>
    <mergeCell ref="C35:N35"/>
    <mergeCell ref="C43:N43"/>
    <mergeCell ref="C44:N44"/>
    <mergeCell ref="C45:N45"/>
    <mergeCell ref="C42:N42"/>
    <mergeCell ref="E37:N37"/>
    <mergeCell ref="E38:N38"/>
    <mergeCell ref="E39:N39"/>
    <mergeCell ref="E40:N40"/>
  </mergeCells>
  <hyperlinks>
    <hyperlink ref="A48" r:id="rId1" xr:uid="{EEFDBCDC-0B67-4ECC-8DCC-A83670025FAC}"/>
    <hyperlink ref="A47" r:id="rId2" xr:uid="{3F397419-A007-4888-BF71-A821136DBCAD}"/>
  </hyperlinks>
  <pageMargins left="0.7" right="0.7" top="0.75" bottom="0.75" header="0.3" footer="0.3"/>
  <pageSetup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Gardiner</dc:creator>
  <cp:lastModifiedBy>Gardiner</cp:lastModifiedBy>
  <dcterms:created xsi:type="dcterms:W3CDTF">2015-06-05T18:17:20Z</dcterms:created>
  <dcterms:modified xsi:type="dcterms:W3CDTF">2024-02-08T10:44:24Z</dcterms:modified>
</cp:coreProperties>
</file>