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Websites\hydrocarbonconspiracy.info\"/>
    </mc:Choice>
  </mc:AlternateContent>
  <xr:revisionPtr revIDLastSave="0" documentId="13_ncr:1_{C16E8B08-A1EB-4199-8AA6-B677A9F5A16B}" xr6:coauthVersionLast="47" xr6:coauthVersionMax="47" xr10:uidLastSave="{00000000-0000-0000-0000-000000000000}"/>
  <bookViews>
    <workbookView xWindow="20010" yWindow="180" windowWidth="17385" windowHeight="204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ihXsFUUIpSSyBP5avXt+UXiOFHyQ=="/>
    </ext>
  </extLst>
</workbook>
</file>

<file path=xl/calcChain.xml><?xml version="1.0" encoding="utf-8"?>
<calcChain xmlns="http://schemas.openxmlformats.org/spreadsheetml/2006/main">
  <c r="C31" i="1" l="1"/>
  <c r="C21" i="1"/>
  <c r="C11" i="1"/>
  <c r="D31" i="1"/>
  <c r="D21" i="1"/>
  <c r="D29" i="1"/>
  <c r="D19" i="1"/>
  <c r="D9" i="1"/>
  <c r="C64" i="1"/>
  <c r="D57" i="1"/>
  <c r="D56" i="1"/>
  <c r="D55" i="1"/>
  <c r="D5" i="1" l="1"/>
  <c r="D6" i="1"/>
  <c r="D7" i="1"/>
  <c r="D8" i="1"/>
  <c r="D10" i="1"/>
  <c r="C51" i="1"/>
  <c r="C41" i="1"/>
  <c r="D11" i="1" l="1"/>
  <c r="D46" i="1"/>
  <c r="D36" i="1"/>
  <c r="D26" i="1"/>
  <c r="D16" i="1"/>
  <c r="D59" i="1"/>
  <c r="G46" i="1" l="1"/>
  <c r="G45" i="1"/>
  <c r="G44" i="1"/>
  <c r="G40" i="1"/>
  <c r="G39" i="1"/>
  <c r="G38" i="1"/>
  <c r="G15" i="1"/>
  <c r="G5" i="1"/>
  <c r="G9" i="1"/>
  <c r="G13" i="1"/>
  <c r="G14" i="1"/>
  <c r="G16" i="1"/>
  <c r="G20" i="1"/>
  <c r="G21" i="1"/>
  <c r="G22" i="1"/>
  <c r="G26" i="1"/>
  <c r="G27" i="1"/>
  <c r="G28" i="1"/>
  <c r="G32" i="1"/>
  <c r="G33" i="1"/>
  <c r="G34" i="1"/>
  <c r="D50" i="1"/>
  <c r="D49" i="1"/>
  <c r="D48" i="1"/>
  <c r="D47" i="1"/>
  <c r="D45" i="1"/>
  <c r="D63" i="1"/>
  <c r="D62" i="1"/>
  <c r="D61" i="1"/>
  <c r="D60" i="1"/>
  <c r="D58" i="1"/>
  <c r="D64" i="1" s="1"/>
  <c r="D51" i="1" l="1"/>
  <c r="D40" i="1"/>
  <c r="D39" i="1"/>
  <c r="D38" i="1"/>
  <c r="D37" i="1"/>
  <c r="D35" i="1"/>
  <c r="D41" i="1" l="1"/>
  <c r="D27" i="1"/>
  <c r="D17" i="1"/>
  <c r="D30" i="1"/>
  <c r="D28" i="1"/>
  <c r="D18" i="1"/>
  <c r="D25" i="1" l="1"/>
  <c r="D20" i="1"/>
  <c r="D15" i="1"/>
</calcChain>
</file>

<file path=xl/sharedStrings.xml><?xml version="1.0" encoding="utf-8"?>
<sst xmlns="http://schemas.openxmlformats.org/spreadsheetml/2006/main" count="129" uniqueCount="37">
  <si>
    <t>Refrigerant:</t>
  </si>
  <si>
    <t>R32</t>
  </si>
  <si>
    <t>R600A</t>
  </si>
  <si>
    <t>Minus 50</t>
  </si>
  <si>
    <t>Volumetric %:</t>
  </si>
  <si>
    <t>Resulting Weight (g):</t>
  </si>
  <si>
    <t>R32 system charge (g):</t>
  </si>
  <si>
    <t>R410A system charge (g):</t>
  </si>
  <si>
    <t>R407C system charge (g):</t>
  </si>
  <si>
    <t>R404A system charge (g):</t>
  </si>
  <si>
    <t>R290</t>
  </si>
  <si>
    <t>Minus 60</t>
  </si>
  <si>
    <t>Minus 30</t>
  </si>
  <si>
    <t>Engas M50</t>
  </si>
  <si>
    <t>Engas M30</t>
  </si>
  <si>
    <t>R22 system charge (g):</t>
  </si>
  <si>
    <t>R134A system charge (g):</t>
  </si>
  <si>
    <t>Minus 30 EC</t>
  </si>
  <si>
    <t>Please check the main PDF document and other resources!</t>
  </si>
  <si>
    <t>My technical research is based on much analysis of publicly available data, but isn’t endorsed by any of the hydrocarbon gas manufacturers.</t>
  </si>
  <si>
    <t>Not endorsed by the hydrocarbon refrigerant manufacturers.</t>
  </si>
  <si>
    <t>HC32</t>
  </si>
  <si>
    <t>R1234YF system charge (g):</t>
  </si>
  <si>
    <t>R1234ZE system charge (g):</t>
  </si>
  <si>
    <t>Info &amp; Disclaimer:</t>
  </si>
  <si>
    <t>Standard product hydrocarbon only blends</t>
  </si>
  <si>
    <t>Custom blends</t>
  </si>
  <si>
    <t>How to use:</t>
  </si>
  <si>
    <t>Charge the system with the resulting weight of the relevant blend.</t>
  </si>
  <si>
    <t>Facebook: "Hydrocarbon Conspiracy"</t>
  </si>
  <si>
    <t>Enter system charge weight in the relevant cell, according to the chart of recommended results, or customise.</t>
  </si>
  <si>
    <t>System total equivalent charge:</t>
  </si>
  <si>
    <t>www.hydrocarbonconspiracy.info</t>
  </si>
  <si>
    <t>See also "Charge Variation Calculator" for recommended variations to these figures.</t>
  </si>
  <si>
    <t>R32: 102% - 106%</t>
  </si>
  <si>
    <t>R410A: 100%</t>
  </si>
  <si>
    <t>R22: 97% - 100%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</si>
</sst>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</font>
    <font>
      <b/>
      <u/>
      <sz val="11"/>
      <color rgb="FF000000"/>
      <name val="Calibri"/>
      <family val="2"/>
    </font>
    <font>
      <sz val="11"/>
      <color theme="1"/>
      <name val="Calibri"/>
      <family val="2"/>
    </font>
    <font>
      <b/>
      <u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1"/>
    <xf numFmtId="0" fontId="6" fillId="0" borderId="0" xfId="1" applyFont="1"/>
    <xf numFmtId="0" fontId="0" fillId="0" borderId="0" xfId="0"/>
    <xf numFmtId="0" fontId="4" fillId="2" borderId="4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FFCC"/>
      <color rgb="FFCCECFF"/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hydrocarbonconspiracy.info/" TargetMode="External"/><Relationship Id="rId1" Type="http://schemas.openxmlformats.org/officeDocument/2006/relationships/hyperlink" Target="https://www.facebook.com/hydrocarbonconspirac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7"/>
  <sheetViews>
    <sheetView tabSelected="1" zoomScale="85" zoomScaleNormal="85" workbookViewId="0">
      <selection activeCell="C18" sqref="C18"/>
    </sheetView>
  </sheetViews>
  <sheetFormatPr defaultColWidth="14.42578125" defaultRowHeight="15" customHeight="1" x14ac:dyDescent="0.25"/>
  <cols>
    <col min="1" max="1" width="3.5703125" customWidth="1"/>
    <col min="2" max="2" width="33.42578125" customWidth="1"/>
    <col min="3" max="3" width="14" style="1" customWidth="1"/>
    <col min="4" max="4" width="20.28515625" style="1" customWidth="1"/>
    <col min="5" max="5" width="3.42578125" customWidth="1"/>
    <col min="6" max="6" width="34.5703125" customWidth="1"/>
    <col min="7" max="7" width="22.42578125" style="1" customWidth="1"/>
    <col min="8" max="8" width="20.28515625" style="1" customWidth="1"/>
    <col min="9" max="9" width="3.5703125" customWidth="1"/>
    <col min="10" max="10" width="25.85546875" customWidth="1"/>
    <col min="11" max="11" width="25.85546875" style="1" customWidth="1"/>
  </cols>
  <sheetData>
    <row r="1" spans="1:13" x14ac:dyDescent="0.25">
      <c r="A1" s="3"/>
      <c r="B1" s="61" t="s">
        <v>26</v>
      </c>
      <c r="C1" s="61"/>
      <c r="D1" s="61"/>
      <c r="E1" s="3"/>
      <c r="F1" s="60" t="s">
        <v>25</v>
      </c>
      <c r="G1" s="60"/>
      <c r="H1" s="46"/>
      <c r="I1" s="3"/>
      <c r="L1" s="3"/>
      <c r="M1" s="3"/>
    </row>
    <row r="2" spans="1:13" x14ac:dyDescent="0.25">
      <c r="A2" s="3"/>
      <c r="B2" s="17"/>
      <c r="C2" s="18"/>
      <c r="D2" s="18"/>
      <c r="E2" s="3"/>
      <c r="F2" s="21"/>
      <c r="G2" s="22"/>
      <c r="H2" s="40"/>
      <c r="I2" s="3"/>
      <c r="L2" s="3"/>
      <c r="M2" s="3"/>
    </row>
    <row r="3" spans="1:13" x14ac:dyDescent="0.25">
      <c r="A3" s="3"/>
      <c r="B3" s="59" t="s">
        <v>6</v>
      </c>
      <c r="C3" s="59"/>
      <c r="D3" s="10">
        <v>1000</v>
      </c>
      <c r="E3" s="3"/>
      <c r="F3" s="28" t="s">
        <v>6</v>
      </c>
      <c r="G3" s="24">
        <v>1000</v>
      </c>
      <c r="H3" s="37"/>
      <c r="I3" s="3"/>
      <c r="L3" s="3"/>
      <c r="M3" s="3"/>
    </row>
    <row r="4" spans="1:13" x14ac:dyDescent="0.25">
      <c r="A4" s="3"/>
      <c r="B4" s="9" t="s">
        <v>0</v>
      </c>
      <c r="C4" s="11" t="s">
        <v>4</v>
      </c>
      <c r="D4" s="11" t="s">
        <v>5</v>
      </c>
      <c r="E4" s="3"/>
      <c r="F4" s="23" t="s">
        <v>0</v>
      </c>
      <c r="G4" s="25" t="s">
        <v>5</v>
      </c>
      <c r="H4" s="38"/>
      <c r="I4" s="3"/>
      <c r="L4" s="3"/>
      <c r="M4" s="3"/>
    </row>
    <row r="5" spans="1:13" x14ac:dyDescent="0.25">
      <c r="A5" s="3"/>
      <c r="B5" s="12" t="s">
        <v>1</v>
      </c>
      <c r="C5" s="10">
        <v>35</v>
      </c>
      <c r="D5" s="10">
        <f>(D3/100)*C5/(960000/960000)</f>
        <v>350</v>
      </c>
      <c r="E5" s="3"/>
      <c r="F5" s="26" t="s">
        <v>21</v>
      </c>
      <c r="G5" s="24">
        <f>(G3/(960000/497659))</f>
        <v>518.39479166666661</v>
      </c>
      <c r="H5" s="37"/>
      <c r="I5" s="3"/>
      <c r="L5" s="3"/>
      <c r="M5" s="3"/>
    </row>
    <row r="6" spans="1:13" x14ac:dyDescent="0.25">
      <c r="A6" s="3"/>
      <c r="B6" s="14" t="s">
        <v>21</v>
      </c>
      <c r="C6" s="13">
        <v>68</v>
      </c>
      <c r="D6" s="13">
        <f>(D3/100)*C6/(960000/497659)</f>
        <v>352.50845833333329</v>
      </c>
      <c r="E6" s="3"/>
      <c r="F6" s="21"/>
      <c r="G6" s="22"/>
      <c r="H6" s="37"/>
      <c r="I6" s="3"/>
      <c r="L6" s="3"/>
      <c r="M6" s="3"/>
    </row>
    <row r="7" spans="1:13" x14ac:dyDescent="0.25">
      <c r="A7" s="3"/>
      <c r="B7" s="12" t="s">
        <v>3</v>
      </c>
      <c r="C7" s="10">
        <v>0</v>
      </c>
      <c r="D7" s="10">
        <f>(D3/100)*C7/(960000/571648)</f>
        <v>0</v>
      </c>
      <c r="E7" s="3"/>
      <c r="F7" s="28" t="s">
        <v>7</v>
      </c>
      <c r="G7" s="24">
        <v>1000</v>
      </c>
      <c r="H7" s="37"/>
      <c r="I7" s="3"/>
      <c r="L7" s="3"/>
      <c r="M7" s="3"/>
    </row>
    <row r="8" spans="1:13" x14ac:dyDescent="0.25">
      <c r="A8" s="3"/>
      <c r="B8" s="12" t="s">
        <v>11</v>
      </c>
      <c r="C8" s="10">
        <v>0</v>
      </c>
      <c r="D8" s="10">
        <f>(D3/100)*C8/(960000/569447)</f>
        <v>0</v>
      </c>
      <c r="E8" s="3"/>
      <c r="F8" s="23" t="s">
        <v>0</v>
      </c>
      <c r="G8" s="25" t="s">
        <v>5</v>
      </c>
      <c r="H8" s="37"/>
      <c r="I8" s="3"/>
      <c r="L8" s="3"/>
      <c r="M8" s="3"/>
    </row>
    <row r="9" spans="1:13" x14ac:dyDescent="0.25">
      <c r="A9" s="3"/>
      <c r="B9" s="65" t="s">
        <v>10</v>
      </c>
      <c r="C9" s="18">
        <v>0</v>
      </c>
      <c r="D9" s="10">
        <f>(D3/100)*C9/(960000/580000)</f>
        <v>0</v>
      </c>
      <c r="E9" s="3"/>
      <c r="F9" s="26" t="s">
        <v>21</v>
      </c>
      <c r="G9" s="24">
        <f>(G7/(1058600/497659))</f>
        <v>470.11052333270356</v>
      </c>
      <c r="H9" s="37"/>
      <c r="I9" s="3"/>
      <c r="L9" s="3"/>
      <c r="M9" s="3"/>
    </row>
    <row r="10" spans="1:13" x14ac:dyDescent="0.25">
      <c r="A10" s="3"/>
      <c r="B10" s="12" t="s">
        <v>2</v>
      </c>
      <c r="C10" s="10">
        <v>0</v>
      </c>
      <c r="D10" s="10">
        <f>(D3/100)*C10/(960000/550000)</f>
        <v>0</v>
      </c>
      <c r="E10" s="3"/>
      <c r="F10" s="29"/>
      <c r="G10" s="30"/>
      <c r="H10" s="37"/>
      <c r="I10" s="3"/>
      <c r="L10" s="3"/>
      <c r="M10" s="3"/>
    </row>
    <row r="11" spans="1:13" x14ac:dyDescent="0.25">
      <c r="A11" s="3"/>
      <c r="B11" s="15" t="s">
        <v>31</v>
      </c>
      <c r="C11" s="10" t="str">
        <f>C5+C6+C7+C8+C9+C10&amp;"%"</f>
        <v>103%</v>
      </c>
      <c r="D11" s="10" t="str">
        <f>D5+D6+D7+D8+D9+D10&amp;"g"</f>
        <v>702.508458333333g</v>
      </c>
      <c r="E11" s="3"/>
      <c r="F11" s="27" t="s">
        <v>9</v>
      </c>
      <c r="G11" s="24">
        <v>1000</v>
      </c>
      <c r="H11" s="38"/>
      <c r="I11" s="3"/>
      <c r="L11" s="3"/>
      <c r="M11" s="3"/>
    </row>
    <row r="12" spans="1:13" x14ac:dyDescent="0.25">
      <c r="A12" s="3"/>
      <c r="B12" s="7"/>
      <c r="C12" s="8"/>
      <c r="D12" s="8"/>
      <c r="E12" s="3"/>
      <c r="F12" s="23" t="s">
        <v>0</v>
      </c>
      <c r="G12" s="25" t="s">
        <v>5</v>
      </c>
      <c r="H12" s="37"/>
      <c r="I12" s="3"/>
      <c r="L12" s="3"/>
      <c r="M12" s="3"/>
    </row>
    <row r="13" spans="1:13" x14ac:dyDescent="0.25">
      <c r="A13" s="3"/>
      <c r="B13" s="50" t="s">
        <v>7</v>
      </c>
      <c r="C13" s="51"/>
      <c r="D13" s="10">
        <v>1000</v>
      </c>
      <c r="E13" s="3"/>
      <c r="F13" s="26" t="s">
        <v>3</v>
      </c>
      <c r="G13" s="24">
        <f>(G11/(1044100/571648))</f>
        <v>547.50311272866577</v>
      </c>
      <c r="H13" s="37"/>
      <c r="I13" s="3"/>
      <c r="L13" s="3"/>
      <c r="M13" s="3"/>
    </row>
    <row r="14" spans="1:13" x14ac:dyDescent="0.25">
      <c r="A14" s="3"/>
      <c r="B14" s="9" t="s">
        <v>0</v>
      </c>
      <c r="C14" s="11" t="s">
        <v>4</v>
      </c>
      <c r="D14" s="11" t="s">
        <v>5</v>
      </c>
      <c r="E14" s="3"/>
      <c r="F14" s="26" t="s">
        <v>13</v>
      </c>
      <c r="G14" s="24">
        <f>(G11/(1044100/572579))</f>
        <v>548.39478977109468</v>
      </c>
      <c r="H14" s="37"/>
      <c r="I14" s="3"/>
      <c r="L14" s="3"/>
      <c r="M14" s="3"/>
    </row>
    <row r="15" spans="1:13" x14ac:dyDescent="0.25">
      <c r="A15" s="3"/>
      <c r="B15" s="12" t="s">
        <v>1</v>
      </c>
      <c r="C15" s="10">
        <v>35</v>
      </c>
      <c r="D15" s="10">
        <f>(D13/100)*C15/(1058600/960000)</f>
        <v>317.40034007179293</v>
      </c>
      <c r="E15" s="3"/>
      <c r="F15" s="31" t="s">
        <v>21</v>
      </c>
      <c r="G15" s="24">
        <f>(G11/(1044100/497659))</f>
        <v>476.63921080356289</v>
      </c>
      <c r="H15" s="37"/>
      <c r="I15" s="3"/>
      <c r="L15" s="3"/>
      <c r="M15" s="3"/>
    </row>
    <row r="16" spans="1:13" x14ac:dyDescent="0.25">
      <c r="A16" s="3"/>
      <c r="B16" s="14" t="s">
        <v>21</v>
      </c>
      <c r="C16" s="13">
        <v>65</v>
      </c>
      <c r="D16" s="13">
        <f>(D13/100)*C16/(1058600/497659)</f>
        <v>305.57184016625735</v>
      </c>
      <c r="E16" s="3"/>
      <c r="F16" s="26" t="s">
        <v>11</v>
      </c>
      <c r="G16" s="24">
        <f>(G11/(1044100/569447))</f>
        <v>545.39507709989459</v>
      </c>
      <c r="H16" s="37"/>
      <c r="I16" s="3"/>
      <c r="L16" s="3"/>
      <c r="M16" s="3"/>
    </row>
    <row r="17" spans="1:13" ht="15" customHeight="1" x14ac:dyDescent="0.25">
      <c r="A17" s="3"/>
      <c r="B17" s="12" t="s">
        <v>3</v>
      </c>
      <c r="C17" s="10">
        <v>0</v>
      </c>
      <c r="D17" s="10">
        <f>(D13/100)*C17/(1058600/571648)</f>
        <v>0</v>
      </c>
      <c r="E17" s="3"/>
      <c r="F17" s="19"/>
      <c r="G17" s="20"/>
      <c r="H17" s="37"/>
      <c r="I17" s="3"/>
      <c r="L17" s="3"/>
      <c r="M17" s="3"/>
    </row>
    <row r="18" spans="1:13" x14ac:dyDescent="0.25">
      <c r="A18" s="3"/>
      <c r="B18" s="12" t="s">
        <v>11</v>
      </c>
      <c r="C18" s="10">
        <v>0</v>
      </c>
      <c r="D18" s="10">
        <f>(D13/100)*C18/(1058600/569447)</f>
        <v>0</v>
      </c>
      <c r="E18" s="3"/>
      <c r="F18" s="28" t="s">
        <v>15</v>
      </c>
      <c r="G18" s="24">
        <v>1000</v>
      </c>
      <c r="H18" s="38"/>
      <c r="I18" s="3"/>
      <c r="L18" s="3"/>
      <c r="M18" s="3"/>
    </row>
    <row r="19" spans="1:13" x14ac:dyDescent="0.25">
      <c r="A19" s="3"/>
      <c r="B19" s="65" t="s">
        <v>10</v>
      </c>
      <c r="C19" s="18">
        <v>0</v>
      </c>
      <c r="D19" s="10">
        <f>(D13/100)*C19/(1058600/580000)</f>
        <v>0</v>
      </c>
      <c r="E19" s="3"/>
      <c r="F19" s="23" t="s">
        <v>0</v>
      </c>
      <c r="G19" s="25" t="s">
        <v>5</v>
      </c>
      <c r="H19" s="37"/>
      <c r="I19" s="3"/>
      <c r="L19" s="3"/>
      <c r="M19" s="3"/>
    </row>
    <row r="20" spans="1:13" ht="15" customHeight="1" x14ac:dyDescent="0.25">
      <c r="A20" s="3"/>
      <c r="B20" s="12" t="s">
        <v>2</v>
      </c>
      <c r="C20" s="10">
        <v>0</v>
      </c>
      <c r="D20" s="10">
        <f>(D13/100)*C20/(1058600/550000)</f>
        <v>0</v>
      </c>
      <c r="E20" s="3"/>
      <c r="F20" s="26" t="s">
        <v>3</v>
      </c>
      <c r="G20" s="24">
        <f>(G18/(1190700/571648))</f>
        <v>480.09406231628458</v>
      </c>
      <c r="H20" s="37"/>
      <c r="I20" s="3"/>
      <c r="L20" s="3"/>
      <c r="M20" s="3"/>
    </row>
    <row r="21" spans="1:13" x14ac:dyDescent="0.25">
      <c r="A21" s="3"/>
      <c r="B21" s="15" t="s">
        <v>31</v>
      </c>
      <c r="C21" s="10" t="str">
        <f>C15+C16+C17+C18+C19+C20&amp;"%"</f>
        <v>100%</v>
      </c>
      <c r="D21" s="10" t="str">
        <f>D15+D16+D17+D18+D19+D20&amp;"g"</f>
        <v>622.97218023805g</v>
      </c>
      <c r="E21" s="3"/>
      <c r="F21" s="26" t="s">
        <v>10</v>
      </c>
      <c r="G21" s="24">
        <f>(G18/(1190700/580000))</f>
        <v>487.10842361636014</v>
      </c>
      <c r="H21" s="37"/>
      <c r="I21" s="3"/>
      <c r="L21" s="3"/>
      <c r="M21" s="3"/>
    </row>
    <row r="22" spans="1:13" ht="15.75" customHeight="1" x14ac:dyDescent="0.25">
      <c r="A22" s="3"/>
      <c r="B22" s="7"/>
      <c r="C22" s="8"/>
      <c r="D22" s="8"/>
      <c r="E22" s="3"/>
      <c r="F22" s="26" t="s">
        <v>13</v>
      </c>
      <c r="G22" s="24">
        <f>(G18/(1190700/572579))</f>
        <v>480.87595532039978</v>
      </c>
      <c r="H22" s="37"/>
      <c r="I22" s="3"/>
      <c r="L22" s="3"/>
      <c r="M22" s="3"/>
    </row>
    <row r="23" spans="1:13" ht="15.75" customHeight="1" x14ac:dyDescent="0.25">
      <c r="A23" s="3"/>
      <c r="B23" s="52" t="s">
        <v>9</v>
      </c>
      <c r="C23" s="53"/>
      <c r="D23" s="10">
        <v>1000</v>
      </c>
      <c r="E23" s="3"/>
      <c r="F23" s="21"/>
      <c r="G23" s="22"/>
      <c r="H23" s="37"/>
      <c r="I23" s="3"/>
      <c r="L23" s="3"/>
      <c r="M23" s="3"/>
    </row>
    <row r="24" spans="1:13" ht="15.75" customHeight="1" x14ac:dyDescent="0.25">
      <c r="A24" s="3"/>
      <c r="B24" s="9" t="s">
        <v>0</v>
      </c>
      <c r="C24" s="11" t="s">
        <v>4</v>
      </c>
      <c r="D24" s="11" t="s">
        <v>5</v>
      </c>
      <c r="E24" s="3"/>
      <c r="F24" s="27" t="s">
        <v>8</v>
      </c>
      <c r="G24" s="24">
        <v>1000</v>
      </c>
      <c r="H24" s="37"/>
      <c r="I24" s="3"/>
      <c r="L24" s="3"/>
      <c r="M24" s="3"/>
    </row>
    <row r="25" spans="1:13" ht="15.75" customHeight="1" x14ac:dyDescent="0.25">
      <c r="A25" s="3"/>
      <c r="B25" s="12" t="s">
        <v>1</v>
      </c>
      <c r="C25" s="10">
        <v>0</v>
      </c>
      <c r="D25" s="10">
        <f>(D23/100)*C25/(1044100/960000)</f>
        <v>0</v>
      </c>
      <c r="E25" s="3"/>
      <c r="F25" s="23" t="s">
        <v>0</v>
      </c>
      <c r="G25" s="25" t="s">
        <v>5</v>
      </c>
      <c r="H25" s="38"/>
      <c r="I25" s="3"/>
      <c r="L25" s="3"/>
      <c r="M25" s="3"/>
    </row>
    <row r="26" spans="1:13" ht="15.75" customHeight="1" x14ac:dyDescent="0.25">
      <c r="A26" s="3"/>
      <c r="B26" s="14" t="s">
        <v>21</v>
      </c>
      <c r="C26" s="13">
        <v>0</v>
      </c>
      <c r="D26" s="13">
        <f>(D23/100)*C26/(1044100/497659)</f>
        <v>0</v>
      </c>
      <c r="E26" s="3"/>
      <c r="F26" s="26" t="s">
        <v>3</v>
      </c>
      <c r="G26" s="24">
        <f>(G24/(1137500/571648))</f>
        <v>502.54769230769227</v>
      </c>
      <c r="H26" s="37"/>
      <c r="I26" s="4"/>
      <c r="L26" s="4"/>
      <c r="M26" s="3"/>
    </row>
    <row r="27" spans="1:13" ht="15.75" customHeight="1" x14ac:dyDescent="0.25">
      <c r="A27" s="3"/>
      <c r="B27" s="12" t="s">
        <v>3</v>
      </c>
      <c r="C27" s="10">
        <v>0</v>
      </c>
      <c r="D27" s="10">
        <f>(D23/100)*C27/(1044100/571648)</f>
        <v>0</v>
      </c>
      <c r="E27" s="3"/>
      <c r="F27" s="26" t="s">
        <v>10</v>
      </c>
      <c r="G27" s="24">
        <f>(G24/(1137500/580000))</f>
        <v>509.8901098901099</v>
      </c>
      <c r="H27" s="37"/>
      <c r="I27" s="3"/>
      <c r="L27" s="3"/>
      <c r="M27" s="3"/>
    </row>
    <row r="28" spans="1:13" ht="15.75" customHeight="1" x14ac:dyDescent="0.25">
      <c r="B28" s="12" t="s">
        <v>11</v>
      </c>
      <c r="C28" s="10">
        <v>0</v>
      </c>
      <c r="D28" s="10">
        <f>(D23/100)*C28/(1044100/569447)</f>
        <v>0</v>
      </c>
      <c r="F28" s="26" t="s">
        <v>13</v>
      </c>
      <c r="G28" s="24">
        <f>(G24/(1137500/572579))</f>
        <v>503.36615384615385</v>
      </c>
      <c r="H28" s="37"/>
      <c r="I28" s="3"/>
      <c r="L28" s="3"/>
      <c r="M28" s="3"/>
    </row>
    <row r="29" spans="1:13" ht="15.75" customHeight="1" x14ac:dyDescent="0.25">
      <c r="A29" s="3"/>
      <c r="B29" s="65" t="s">
        <v>10</v>
      </c>
      <c r="C29" s="18">
        <v>0</v>
      </c>
      <c r="D29" s="10">
        <f>(D23/100)*C29/(1044100/580000)</f>
        <v>0</v>
      </c>
      <c r="E29" s="3"/>
      <c r="F29" s="21"/>
      <c r="G29" s="22"/>
      <c r="H29" s="37"/>
      <c r="I29" s="3"/>
      <c r="L29" s="3"/>
      <c r="M29" s="3"/>
    </row>
    <row r="30" spans="1:13" ht="15.75" customHeight="1" x14ac:dyDescent="0.25">
      <c r="A30" s="3"/>
      <c r="B30" s="12" t="s">
        <v>2</v>
      </c>
      <c r="C30" s="10">
        <v>0</v>
      </c>
      <c r="D30" s="10">
        <f>(D23/100)*C30/(1044100/550000)</f>
        <v>0</v>
      </c>
      <c r="E30" s="3"/>
      <c r="F30" s="28" t="s">
        <v>16</v>
      </c>
      <c r="G30" s="24">
        <v>1000</v>
      </c>
      <c r="H30" s="37"/>
      <c r="I30" s="3"/>
      <c r="L30" s="3"/>
      <c r="M30" s="3"/>
    </row>
    <row r="31" spans="1:13" ht="15.75" customHeight="1" x14ac:dyDescent="0.25">
      <c r="A31" s="3"/>
      <c r="B31" s="15" t="s">
        <v>31</v>
      </c>
      <c r="C31" s="10" t="str">
        <f>C25+C26+C27+C28+C29+C30&amp;"%"</f>
        <v>0%</v>
      </c>
      <c r="D31" s="10" t="str">
        <f>D25+D26+D27+D28+D29+D30&amp;"g"</f>
        <v>0g</v>
      </c>
      <c r="E31" s="3"/>
      <c r="F31" s="23" t="s">
        <v>0</v>
      </c>
      <c r="G31" s="25" t="s">
        <v>5</v>
      </c>
      <c r="H31" s="37"/>
      <c r="I31" s="3"/>
      <c r="L31" s="3"/>
      <c r="M31" s="3"/>
    </row>
    <row r="32" spans="1:13" ht="15.75" customHeight="1" x14ac:dyDescent="0.25">
      <c r="A32" s="3"/>
      <c r="B32" s="7"/>
      <c r="C32" s="8"/>
      <c r="D32" s="8"/>
      <c r="E32" s="3"/>
      <c r="F32" s="26" t="s">
        <v>12</v>
      </c>
      <c r="G32" s="24">
        <f>(G30/(1206700/538903))</f>
        <v>446.59235932709038</v>
      </c>
      <c r="H32" s="38"/>
      <c r="I32" s="3"/>
      <c r="L32" s="3"/>
      <c r="M32" s="3"/>
    </row>
    <row r="33" spans="1:13" ht="15.75" customHeight="1" x14ac:dyDescent="0.25">
      <c r="A33" s="3"/>
      <c r="B33" s="54" t="s">
        <v>15</v>
      </c>
      <c r="C33" s="55"/>
      <c r="D33" s="10">
        <v>1000</v>
      </c>
      <c r="E33" s="3"/>
      <c r="F33" s="26" t="s">
        <v>17</v>
      </c>
      <c r="G33" s="24">
        <f>(G30/(1206700/546099))</f>
        <v>452.55573050468217</v>
      </c>
      <c r="H33" s="37"/>
      <c r="I33" s="3"/>
      <c r="L33" s="3"/>
      <c r="M33" s="3"/>
    </row>
    <row r="34" spans="1:13" ht="15.75" customHeight="1" x14ac:dyDescent="0.25">
      <c r="A34" s="3"/>
      <c r="B34" s="9" t="s">
        <v>0</v>
      </c>
      <c r="C34" s="49" t="s">
        <v>4</v>
      </c>
      <c r="D34" s="11" t="s">
        <v>5</v>
      </c>
      <c r="E34" s="3"/>
      <c r="F34" s="26" t="s">
        <v>14</v>
      </c>
      <c r="G34" s="24">
        <f>(G30/(1206700/553883))</f>
        <v>459.00638103919778</v>
      </c>
      <c r="H34" s="37"/>
      <c r="I34" s="3"/>
      <c r="L34" s="3"/>
      <c r="M34" s="3"/>
    </row>
    <row r="35" spans="1:13" ht="15.75" customHeight="1" x14ac:dyDescent="0.25">
      <c r="A35" s="3"/>
      <c r="B35" s="12" t="s">
        <v>1</v>
      </c>
      <c r="C35" s="13">
        <v>0</v>
      </c>
      <c r="D35" s="10">
        <f>(D33/100)*C35/(1190700/960000)</f>
        <v>0</v>
      </c>
      <c r="E35" s="3"/>
      <c r="F35" s="21"/>
      <c r="G35" s="22"/>
      <c r="H35" s="37"/>
      <c r="I35" s="3"/>
      <c r="L35" s="3"/>
      <c r="M35" s="3"/>
    </row>
    <row r="36" spans="1:13" ht="15.75" customHeight="1" x14ac:dyDescent="0.25">
      <c r="A36" s="3"/>
      <c r="B36" s="14" t="s">
        <v>21</v>
      </c>
      <c r="C36" s="13">
        <v>0</v>
      </c>
      <c r="D36" s="13">
        <f>(D33/100)*C36/(1190700/497659)</f>
        <v>0</v>
      </c>
      <c r="E36" s="3"/>
      <c r="F36" s="28" t="s">
        <v>22</v>
      </c>
      <c r="G36" s="24">
        <v>1000</v>
      </c>
      <c r="H36" s="37"/>
      <c r="I36" s="4"/>
      <c r="L36" s="3"/>
      <c r="M36" s="3"/>
    </row>
    <row r="37" spans="1:13" ht="15.75" customHeight="1" x14ac:dyDescent="0.25">
      <c r="A37" s="3"/>
      <c r="B37" s="12" t="s">
        <v>3</v>
      </c>
      <c r="C37" s="10">
        <v>0</v>
      </c>
      <c r="D37" s="10">
        <f>(D33/100)*C37/(1190700/571648)</f>
        <v>0</v>
      </c>
      <c r="E37" s="3"/>
      <c r="F37" s="23" t="s">
        <v>0</v>
      </c>
      <c r="G37" s="25" t="s">
        <v>5</v>
      </c>
      <c r="H37" s="37"/>
      <c r="I37" s="3"/>
      <c r="L37" s="3"/>
      <c r="M37" s="3"/>
    </row>
    <row r="38" spans="1:13" ht="15.75" customHeight="1" x14ac:dyDescent="0.25">
      <c r="A38" s="3"/>
      <c r="B38" s="12" t="s">
        <v>11</v>
      </c>
      <c r="C38" s="10">
        <v>0</v>
      </c>
      <c r="D38" s="10">
        <f>(D33/100)*C38/(1190700/569447)</f>
        <v>0</v>
      </c>
      <c r="E38" s="3"/>
      <c r="F38" s="26" t="s">
        <v>12</v>
      </c>
      <c r="G38" s="24">
        <f>(G36/(1094000/538903))</f>
        <v>492.59872029250459</v>
      </c>
      <c r="H38" s="37"/>
      <c r="I38" s="3"/>
      <c r="L38" s="3"/>
      <c r="M38" s="3"/>
    </row>
    <row r="39" spans="1:13" ht="15.75" customHeight="1" x14ac:dyDescent="0.25">
      <c r="A39" s="3"/>
      <c r="B39" s="12" t="s">
        <v>10</v>
      </c>
      <c r="C39" s="10">
        <v>100</v>
      </c>
      <c r="D39" s="10">
        <f>(D33/100)*C39/(1190700/580000)</f>
        <v>487.10842361636014</v>
      </c>
      <c r="E39" s="3"/>
      <c r="F39" s="26" t="s">
        <v>17</v>
      </c>
      <c r="G39" s="24">
        <f>(G36/(1094000/546099))</f>
        <v>499.17641681901284</v>
      </c>
      <c r="H39" s="38"/>
      <c r="I39" s="3"/>
      <c r="L39" s="3"/>
      <c r="M39" s="3"/>
    </row>
    <row r="40" spans="1:13" ht="15.75" customHeight="1" x14ac:dyDescent="0.25">
      <c r="A40" s="4"/>
      <c r="B40" s="14" t="s">
        <v>2</v>
      </c>
      <c r="C40" s="13">
        <v>0</v>
      </c>
      <c r="D40" s="10">
        <f>(D33/100)*C40/(1190700/550000)</f>
        <v>0</v>
      </c>
      <c r="E40" s="3"/>
      <c r="F40" s="26" t="s">
        <v>14</v>
      </c>
      <c r="G40" s="24">
        <f>(G36/(1094000/553883))</f>
        <v>506.29159049360146</v>
      </c>
      <c r="H40" s="37"/>
      <c r="I40" s="3"/>
      <c r="L40" s="3"/>
      <c r="M40" s="3"/>
    </row>
    <row r="41" spans="1:13" ht="15.75" customHeight="1" x14ac:dyDescent="0.25">
      <c r="A41" s="4"/>
      <c r="B41" s="15" t="s">
        <v>31</v>
      </c>
      <c r="C41" s="10" t="str">
        <f>C35+C36+C37+C38+C39+C40&amp;"%"</f>
        <v>100%</v>
      </c>
      <c r="D41" s="10" t="str">
        <f>D35+D36+D37+D38+D39+D40&amp;"g"</f>
        <v>487.10842361636g</v>
      </c>
      <c r="E41" s="3"/>
      <c r="F41" s="21"/>
      <c r="G41" s="22"/>
      <c r="H41" s="37"/>
      <c r="I41" s="3"/>
      <c r="L41" s="3"/>
      <c r="M41" s="3"/>
    </row>
    <row r="42" spans="1:13" ht="15.75" customHeight="1" x14ac:dyDescent="0.25">
      <c r="A42" s="4"/>
      <c r="B42" s="7"/>
      <c r="C42" s="8"/>
      <c r="D42" s="8"/>
      <c r="E42" s="3"/>
      <c r="F42" s="28" t="s">
        <v>23</v>
      </c>
      <c r="G42" s="24">
        <v>1000</v>
      </c>
      <c r="H42" s="37"/>
      <c r="I42" s="3"/>
      <c r="L42" s="3"/>
      <c r="M42" s="3"/>
    </row>
    <row r="43" spans="1:13" ht="15.75" customHeight="1" x14ac:dyDescent="0.25">
      <c r="A43" s="4"/>
      <c r="B43" s="54" t="s">
        <v>8</v>
      </c>
      <c r="C43" s="55"/>
      <c r="D43" s="10">
        <v>1000</v>
      </c>
      <c r="E43" s="3"/>
      <c r="F43" s="23" t="s">
        <v>0</v>
      </c>
      <c r="G43" s="25" t="s">
        <v>5</v>
      </c>
      <c r="H43" s="37"/>
      <c r="I43" s="3"/>
      <c r="L43" s="3"/>
      <c r="M43" s="3"/>
    </row>
    <row r="44" spans="1:13" ht="15.75" customHeight="1" x14ac:dyDescent="0.25">
      <c r="A44" s="4"/>
      <c r="B44" s="9" t="s">
        <v>0</v>
      </c>
      <c r="C44" s="11" t="s">
        <v>4</v>
      </c>
      <c r="D44" s="11" t="s">
        <v>5</v>
      </c>
      <c r="E44" s="3"/>
      <c r="F44" s="26" t="s">
        <v>12</v>
      </c>
      <c r="G44" s="24">
        <f>(G42/(1170000/538903))</f>
        <v>460.60085470085471</v>
      </c>
      <c r="H44" s="2"/>
      <c r="I44" s="3"/>
      <c r="L44" s="3"/>
      <c r="M44" s="3"/>
    </row>
    <row r="45" spans="1:13" ht="15.75" customHeight="1" x14ac:dyDescent="0.25">
      <c r="A45" s="4"/>
      <c r="B45" s="16" t="s">
        <v>1</v>
      </c>
      <c r="C45" s="13">
        <v>0</v>
      </c>
      <c r="D45" s="10">
        <f>(D43/100)*C45/(1137500/960000)</f>
        <v>0</v>
      </c>
      <c r="E45" s="3"/>
      <c r="F45" s="26" t="s">
        <v>17</v>
      </c>
      <c r="G45" s="24">
        <f>(G42/(1170000/546099))</f>
        <v>466.75128205128203</v>
      </c>
      <c r="H45" s="2"/>
      <c r="I45" s="3"/>
      <c r="L45" s="3"/>
      <c r="M45" s="3"/>
    </row>
    <row r="46" spans="1:13" ht="15.75" customHeight="1" x14ac:dyDescent="0.25">
      <c r="A46" s="3"/>
      <c r="B46" s="14" t="s">
        <v>21</v>
      </c>
      <c r="C46" s="13">
        <v>0</v>
      </c>
      <c r="D46" s="13">
        <f>(D43/100)*C46/(1137500/497659)</f>
        <v>0</v>
      </c>
      <c r="E46" s="3"/>
      <c r="F46" s="26" t="s">
        <v>14</v>
      </c>
      <c r="G46" s="24">
        <f>(G42/(1170000/553883))</f>
        <v>473.40427350427353</v>
      </c>
      <c r="H46" s="2"/>
      <c r="I46" s="3"/>
      <c r="L46" s="3"/>
      <c r="M46" s="3"/>
    </row>
    <row r="47" spans="1:13" ht="15.75" customHeight="1" x14ac:dyDescent="0.25">
      <c r="A47" s="5"/>
      <c r="B47" s="12" t="s">
        <v>3</v>
      </c>
      <c r="C47" s="10">
        <v>0</v>
      </c>
      <c r="D47" s="10">
        <f>(D43/100)*C47/(1137500/571648)</f>
        <v>0</v>
      </c>
    </row>
    <row r="48" spans="1:13" ht="15.75" customHeight="1" x14ac:dyDescent="0.25">
      <c r="B48" s="12" t="s">
        <v>11</v>
      </c>
      <c r="C48" s="10">
        <v>0</v>
      </c>
      <c r="D48" s="10">
        <f>(D43/100)*C48/(1137500/569447)</f>
        <v>0</v>
      </c>
      <c r="F48" s="33"/>
    </row>
    <row r="49" spans="1:10" ht="15.75" customHeight="1" x14ac:dyDescent="0.25">
      <c r="A49" s="6"/>
      <c r="B49" s="12" t="s">
        <v>10</v>
      </c>
      <c r="C49" s="10">
        <v>100</v>
      </c>
      <c r="D49" s="10">
        <f>(D43/100)*C49/(1137500/580000)</f>
        <v>509.8901098901099</v>
      </c>
    </row>
    <row r="50" spans="1:10" ht="15.75" customHeight="1" x14ac:dyDescent="0.25">
      <c r="A50" s="5"/>
      <c r="B50" s="14" t="s">
        <v>2</v>
      </c>
      <c r="C50" s="13">
        <v>0</v>
      </c>
      <c r="D50" s="10">
        <f>(D43/100)*C50/(1137500/550000)</f>
        <v>0</v>
      </c>
    </row>
    <row r="51" spans="1:10" ht="15.75" customHeight="1" x14ac:dyDescent="0.25">
      <c r="A51" s="5"/>
      <c r="B51" s="15" t="s">
        <v>31</v>
      </c>
      <c r="C51" s="10" t="str">
        <f>C45+C46+C47+C48+C49+C50&amp;"%"</f>
        <v>100%</v>
      </c>
      <c r="D51" s="10" t="str">
        <f>D45+D46+D47+D48+D49+D50&amp;"g"</f>
        <v>509.89010989011g</v>
      </c>
    </row>
    <row r="52" spans="1:10" ht="15.75" customHeight="1" x14ac:dyDescent="0.25">
      <c r="A52" s="5"/>
      <c r="B52" s="7"/>
      <c r="C52" s="8"/>
      <c r="D52" s="8"/>
    </row>
    <row r="53" spans="1:10" ht="15.75" customHeight="1" x14ac:dyDescent="0.25">
      <c r="A53" s="5"/>
      <c r="B53" s="54" t="s">
        <v>16</v>
      </c>
      <c r="C53" s="55"/>
      <c r="D53" s="10">
        <v>1000</v>
      </c>
    </row>
    <row r="54" spans="1:10" ht="15.75" customHeight="1" x14ac:dyDescent="0.25">
      <c r="B54" s="9" t="s">
        <v>0</v>
      </c>
      <c r="C54" s="11" t="s">
        <v>4</v>
      </c>
      <c r="D54" s="11" t="s">
        <v>5</v>
      </c>
      <c r="F54" s="6"/>
    </row>
    <row r="55" spans="1:10" ht="15.75" customHeight="1" x14ac:dyDescent="0.25">
      <c r="B55" s="16" t="s">
        <v>12</v>
      </c>
      <c r="C55" s="13">
        <v>0</v>
      </c>
      <c r="D55" s="13">
        <f>(D53/100)*C55/(1206700/538903)</f>
        <v>0</v>
      </c>
      <c r="F55" s="32"/>
      <c r="G55" s="43"/>
      <c r="I55" s="1"/>
      <c r="J55" s="1"/>
    </row>
    <row r="56" spans="1:10" ht="15.75" customHeight="1" x14ac:dyDescent="0.25">
      <c r="B56" s="16" t="s">
        <v>17</v>
      </c>
      <c r="C56" s="13">
        <v>0</v>
      </c>
      <c r="D56" s="13">
        <f>(D53/100)*C56/(1206700/546099)</f>
        <v>0</v>
      </c>
      <c r="F56" s="32"/>
      <c r="G56" s="43"/>
      <c r="I56" s="1"/>
      <c r="J56" s="1"/>
    </row>
    <row r="57" spans="1:10" ht="15.75" customHeight="1" x14ac:dyDescent="0.25">
      <c r="B57" s="16" t="s">
        <v>14</v>
      </c>
      <c r="C57" s="13">
        <v>0</v>
      </c>
      <c r="D57" s="13">
        <f>(D53/100)*C57/(1206700/553883)</f>
        <v>0</v>
      </c>
      <c r="F57" s="32"/>
      <c r="G57" s="43"/>
      <c r="I57" s="1"/>
      <c r="J57" s="1"/>
    </row>
    <row r="58" spans="1:10" ht="15.75" customHeight="1" x14ac:dyDescent="0.25">
      <c r="B58" s="16" t="s">
        <v>1</v>
      </c>
      <c r="C58" s="13">
        <v>0</v>
      </c>
      <c r="D58" s="10">
        <f>(D53/100)*C58/(1206700/960000)</f>
        <v>0</v>
      </c>
      <c r="F58" s="32"/>
      <c r="G58" s="43"/>
      <c r="I58" s="1"/>
      <c r="J58" s="1"/>
    </row>
    <row r="59" spans="1:10" ht="15.75" customHeight="1" x14ac:dyDescent="0.25">
      <c r="A59" s="6"/>
      <c r="B59" s="14" t="s">
        <v>21</v>
      </c>
      <c r="C59" s="13">
        <v>0</v>
      </c>
      <c r="D59" s="13">
        <f>(D53/100)*C59/(1206700/497659)</f>
        <v>0</v>
      </c>
      <c r="F59" s="32"/>
      <c r="G59" s="44"/>
      <c r="H59" s="44"/>
      <c r="I59" s="44"/>
      <c r="J59" s="44"/>
    </row>
    <row r="60" spans="1:10" ht="15.75" customHeight="1" x14ac:dyDescent="0.25">
      <c r="A60" s="5"/>
      <c r="B60" s="12" t="s">
        <v>3</v>
      </c>
      <c r="C60" s="10">
        <v>0</v>
      </c>
      <c r="D60" s="10">
        <f>(D53/100)*C60/(1206700/571648)</f>
        <v>0</v>
      </c>
      <c r="F60" s="32"/>
      <c r="G60" s="44"/>
      <c r="H60" s="45"/>
      <c r="I60" s="45"/>
      <c r="J60" s="45"/>
    </row>
    <row r="61" spans="1:10" ht="15.75" customHeight="1" x14ac:dyDescent="0.25">
      <c r="A61" s="5"/>
      <c r="B61" s="12" t="s">
        <v>11</v>
      </c>
      <c r="C61" s="10">
        <v>0</v>
      </c>
      <c r="D61" s="10">
        <f>(D53/100)*C61/(1206700/569447)</f>
        <v>0</v>
      </c>
      <c r="F61" s="32"/>
      <c r="G61" s="44"/>
      <c r="H61" s="45"/>
      <c r="I61" s="45"/>
      <c r="J61" s="45"/>
    </row>
    <row r="62" spans="1:10" ht="15.75" customHeight="1" x14ac:dyDescent="0.25">
      <c r="A62" s="5"/>
      <c r="B62" s="12" t="s">
        <v>10</v>
      </c>
      <c r="C62" s="10">
        <v>0</v>
      </c>
      <c r="D62" s="10">
        <f>(D53/100)*C62/(1206700/580000)</f>
        <v>0</v>
      </c>
    </row>
    <row r="63" spans="1:10" ht="15.75" customHeight="1" x14ac:dyDescent="0.25">
      <c r="A63" s="5"/>
      <c r="B63" s="14" t="s">
        <v>2</v>
      </c>
      <c r="C63" s="13">
        <v>0</v>
      </c>
      <c r="D63" s="10">
        <f>(D53/100)*C63/(1206700/550000)</f>
        <v>0</v>
      </c>
    </row>
    <row r="64" spans="1:10" ht="15.75" customHeight="1" x14ac:dyDescent="0.25">
      <c r="A64" s="5"/>
      <c r="B64" s="15" t="s">
        <v>31</v>
      </c>
      <c r="C64" s="10" t="str">
        <f>C55+C56+C57+C58+C59+C60+C61+C62+C63&amp;"%"</f>
        <v>0%</v>
      </c>
      <c r="D64" s="10" t="str">
        <f>D55+D56+D57+D58+D59+D60+D61+D62+D63&amp;"g"</f>
        <v>0g</v>
      </c>
    </row>
    <row r="65" spans="1:8" ht="15.75" customHeight="1" x14ac:dyDescent="0.25">
      <c r="A65" s="5"/>
    </row>
    <row r="66" spans="1:8" ht="15.75" customHeight="1" x14ac:dyDescent="0.25">
      <c r="A66" s="5"/>
      <c r="B66" s="42" t="s">
        <v>33</v>
      </c>
      <c r="D66" s="35"/>
    </row>
    <row r="67" spans="1:8" ht="15.75" customHeight="1" x14ac:dyDescent="0.25">
      <c r="A67" s="5"/>
      <c r="B67" s="48" t="s">
        <v>36</v>
      </c>
      <c r="D67" s="56"/>
    </row>
    <row r="68" spans="1:8" ht="15.75" customHeight="1" x14ac:dyDescent="0.25">
      <c r="A68" s="5"/>
      <c r="B68" s="48" t="s">
        <v>35</v>
      </c>
      <c r="D68" s="56"/>
    </row>
    <row r="69" spans="1:8" ht="15.75" customHeight="1" x14ac:dyDescent="0.25">
      <c r="B69" s="57" t="s">
        <v>34</v>
      </c>
      <c r="D69" s="56"/>
    </row>
    <row r="70" spans="1:8" ht="15.75" customHeight="1" x14ac:dyDescent="0.25">
      <c r="B70" s="34"/>
      <c r="C70" s="42"/>
      <c r="D70" s="35"/>
    </row>
    <row r="71" spans="1:8" ht="15.75" customHeight="1" x14ac:dyDescent="0.25">
      <c r="A71" s="5"/>
      <c r="B71" s="33" t="s">
        <v>24</v>
      </c>
      <c r="C71" s="36"/>
      <c r="D71" s="37"/>
    </row>
    <row r="72" spans="1:8" ht="15.75" customHeight="1" x14ac:dyDescent="0.25">
      <c r="B72" s="62" t="s">
        <v>32</v>
      </c>
      <c r="C72" s="62"/>
      <c r="D72" s="62"/>
      <c r="E72" s="62"/>
      <c r="F72" s="62"/>
      <c r="G72" s="62"/>
      <c r="H72" s="62"/>
    </row>
    <row r="73" spans="1:8" ht="15.75" customHeight="1" x14ac:dyDescent="0.25">
      <c r="A73" s="5"/>
      <c r="B73" s="63" t="s">
        <v>29</v>
      </c>
      <c r="C73" s="63"/>
      <c r="D73" s="63"/>
      <c r="E73" s="63"/>
      <c r="F73" s="63"/>
      <c r="G73" s="63"/>
      <c r="H73" s="63"/>
    </row>
    <row r="74" spans="1:8" ht="15.75" customHeight="1" x14ac:dyDescent="0.25">
      <c r="B74" s="64" t="s">
        <v>18</v>
      </c>
      <c r="C74" s="64"/>
      <c r="D74" s="64"/>
      <c r="E74" s="64"/>
      <c r="F74" s="64"/>
      <c r="G74" s="64"/>
      <c r="H74" s="64"/>
    </row>
    <row r="75" spans="1:8" ht="15.75" customHeight="1" x14ac:dyDescent="0.25">
      <c r="B75" s="64" t="s">
        <v>19</v>
      </c>
      <c r="C75" s="64"/>
      <c r="D75" s="64"/>
      <c r="E75" s="64"/>
      <c r="F75" s="64"/>
      <c r="G75" s="64"/>
      <c r="H75" s="64"/>
    </row>
    <row r="76" spans="1:8" ht="15.75" customHeight="1" x14ac:dyDescent="0.25">
      <c r="B76" s="64" t="s">
        <v>20</v>
      </c>
      <c r="C76" s="64"/>
      <c r="D76" s="64"/>
      <c r="E76" s="64"/>
      <c r="F76" s="64"/>
      <c r="G76" s="64"/>
      <c r="H76" s="64"/>
    </row>
    <row r="77" spans="1:8" ht="15.75" customHeight="1" x14ac:dyDescent="0.25">
      <c r="B77" s="6"/>
      <c r="C77" s="40"/>
      <c r="D77" s="37"/>
    </row>
    <row r="78" spans="1:8" ht="15.75" customHeight="1" x14ac:dyDescent="0.25">
      <c r="B78" s="47" t="s">
        <v>27</v>
      </c>
      <c r="C78" s="48"/>
      <c r="D78" s="48"/>
      <c r="E78" s="48"/>
      <c r="F78" s="48"/>
    </row>
    <row r="79" spans="1:8" ht="15.75" customHeight="1" x14ac:dyDescent="0.25">
      <c r="B79" s="58" t="s">
        <v>30</v>
      </c>
      <c r="C79" s="58"/>
      <c r="D79" s="58"/>
      <c r="E79" s="58"/>
      <c r="F79" s="58"/>
    </row>
    <row r="80" spans="1:8" ht="15.75" customHeight="1" x14ac:dyDescent="0.25">
      <c r="B80" s="58" t="s">
        <v>28</v>
      </c>
      <c r="C80" s="58"/>
      <c r="D80" s="58"/>
      <c r="E80" s="58"/>
      <c r="F80" s="58"/>
    </row>
    <row r="81" spans="2:4" ht="15.75" customHeight="1" x14ac:dyDescent="0.25">
      <c r="C81" s="37"/>
      <c r="D81" s="37"/>
    </row>
    <row r="82" spans="2:4" ht="15.75" customHeight="1" x14ac:dyDescent="0.25">
      <c r="B82" s="39"/>
      <c r="C82" s="37"/>
      <c r="D82" s="37"/>
    </row>
    <row r="83" spans="2:4" ht="15.75" customHeight="1" x14ac:dyDescent="0.25">
      <c r="B83" s="41"/>
      <c r="C83" s="40"/>
      <c r="D83" s="37"/>
    </row>
    <row r="84" spans="2:4" ht="15.75" customHeight="1" x14ac:dyDescent="0.25">
      <c r="B84" s="42"/>
      <c r="C84" s="37"/>
      <c r="D84" s="37"/>
    </row>
    <row r="85" spans="2:4" ht="15.75" customHeight="1" x14ac:dyDescent="0.25"/>
    <row r="86" spans="2:4" ht="15.75" customHeight="1" x14ac:dyDescent="0.25"/>
    <row r="87" spans="2:4" ht="15.75" customHeight="1" x14ac:dyDescent="0.25"/>
    <row r="88" spans="2:4" ht="15.75" customHeight="1" x14ac:dyDescent="0.25"/>
    <row r="89" spans="2:4" ht="15.75" customHeight="1" x14ac:dyDescent="0.25"/>
    <row r="90" spans="2:4" ht="15.75" customHeight="1" x14ac:dyDescent="0.25"/>
    <row r="91" spans="2:4" ht="15.75" customHeight="1" x14ac:dyDescent="0.25"/>
    <row r="92" spans="2:4" ht="15.75" customHeight="1" x14ac:dyDescent="0.25"/>
    <row r="93" spans="2:4" ht="15.75" customHeight="1" x14ac:dyDescent="0.25"/>
    <row r="94" spans="2:4" ht="15.75" customHeight="1" x14ac:dyDescent="0.25"/>
    <row r="95" spans="2:4" ht="15.75" customHeight="1" x14ac:dyDescent="0.25"/>
    <row r="96" spans="2:4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10">
    <mergeCell ref="B79:F79"/>
    <mergeCell ref="B80:F80"/>
    <mergeCell ref="B72:H72"/>
    <mergeCell ref="B73:H73"/>
    <mergeCell ref="B74:H74"/>
    <mergeCell ref="B75:H75"/>
    <mergeCell ref="B76:H76"/>
    <mergeCell ref="B3:C3"/>
    <mergeCell ref="F1:G1"/>
    <mergeCell ref="B1:D1"/>
  </mergeCells>
  <hyperlinks>
    <hyperlink ref="B73" r:id="rId1" display="Facebook: Hydrocarbon Conspiracy" xr:uid="{F9D8E46F-8227-4B43-B297-C8610854FE8D}"/>
    <hyperlink ref="B72" r:id="rId2" xr:uid="{B5BD1478-BB78-4D92-972A-7FF355E659B5}"/>
  </hyperlinks>
  <pageMargins left="0.7" right="0.7" top="0.75" bottom="0.75" header="0" footer="0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2578125" defaultRowHeight="15" customHeight="1" x14ac:dyDescent="0.25"/>
  <cols>
    <col min="1" max="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Gardiner</cp:lastModifiedBy>
  <cp:lastPrinted>2023-07-24T10:27:28Z</cp:lastPrinted>
  <dcterms:created xsi:type="dcterms:W3CDTF">2006-09-16T00:00:00Z</dcterms:created>
  <dcterms:modified xsi:type="dcterms:W3CDTF">2025-01-07T08:47:11Z</dcterms:modified>
</cp:coreProperties>
</file>